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gloriafaber/Documents/Documents - iMac/Documents/Accounting/"/>
    </mc:Choice>
  </mc:AlternateContent>
  <xr:revisionPtr revIDLastSave="0" documentId="13_ncr:1_{64B5BDBA-3722-A64F-818C-121741E5D4BB}" xr6:coauthVersionLast="47" xr6:coauthVersionMax="47" xr10:uidLastSave="{00000000-0000-0000-0000-000000000000}"/>
  <bookViews>
    <workbookView xWindow="0" yWindow="500" windowWidth="44800" windowHeight="23160" xr2:uid="{00000000-000D-0000-FFFF-FFFF00000000}"/>
  </bookViews>
  <sheets>
    <sheet name="Budget Overview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3" i="1" l="1"/>
  <c r="B142" i="1"/>
  <c r="B141" i="1"/>
  <c r="B140" i="1"/>
  <c r="B139" i="1"/>
  <c r="B138" i="1"/>
  <c r="B144" i="1" s="1"/>
  <c r="B135" i="1"/>
  <c r="B134" i="1"/>
  <c r="B133" i="1"/>
  <c r="B136" i="1" s="1"/>
  <c r="B130" i="1"/>
  <c r="B129" i="1"/>
  <c r="B128" i="1"/>
  <c r="B127" i="1"/>
  <c r="B131" i="1" s="1"/>
  <c r="B124" i="1"/>
  <c r="B123" i="1"/>
  <c r="B125" i="1" s="1"/>
  <c r="B120" i="1"/>
  <c r="B119" i="1"/>
  <c r="B118" i="1"/>
  <c r="B117" i="1"/>
  <c r="B121" i="1" s="1"/>
  <c r="B115" i="1"/>
  <c r="B113" i="1"/>
  <c r="B114" i="1" s="1"/>
  <c r="B112" i="1"/>
  <c r="B111" i="1"/>
  <c r="B110" i="1"/>
  <c r="B109" i="1"/>
  <c r="B107" i="1"/>
  <c r="B106" i="1"/>
  <c r="B105" i="1"/>
  <c r="B108" i="1" s="1"/>
  <c r="B101" i="1"/>
  <c r="B100" i="1"/>
  <c r="B99" i="1"/>
  <c r="B98" i="1"/>
  <c r="B102" i="1" s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96" i="1" s="1"/>
  <c r="B77" i="1"/>
  <c r="B76" i="1"/>
  <c r="B75" i="1"/>
  <c r="B74" i="1"/>
  <c r="B73" i="1"/>
  <c r="B70" i="1"/>
  <c r="B69" i="1"/>
  <c r="B68" i="1"/>
  <c r="B67" i="1"/>
  <c r="B66" i="1"/>
  <c r="B65" i="1"/>
  <c r="B64" i="1"/>
  <c r="B63" i="1"/>
  <c r="B62" i="1"/>
  <c r="B61" i="1"/>
  <c r="B60" i="1"/>
  <c r="B59" i="1"/>
  <c r="B71" i="1" s="1"/>
  <c r="B57" i="1"/>
  <c r="B56" i="1"/>
  <c r="B55" i="1"/>
  <c r="B47" i="1"/>
  <c r="B46" i="1"/>
  <c r="B48" i="1" s="1"/>
  <c r="B45" i="1"/>
  <c r="B44" i="1"/>
  <c r="B43" i="1"/>
  <c r="B40" i="1"/>
  <c r="B41" i="1" s="1"/>
  <c r="B36" i="1"/>
  <c r="B37" i="1" s="1"/>
  <c r="B38" i="1" s="1"/>
  <c r="B34" i="1"/>
  <c r="B33" i="1"/>
  <c r="B32" i="1"/>
  <c r="B29" i="1"/>
  <c r="B28" i="1"/>
  <c r="B27" i="1"/>
  <c r="B30" i="1" s="1"/>
  <c r="B25" i="1"/>
  <c r="B24" i="1"/>
  <c r="B20" i="1"/>
  <c r="B19" i="1"/>
  <c r="B21" i="1" s="1"/>
  <c r="B16" i="1"/>
  <c r="B17" i="1" s="1"/>
  <c r="B14" i="1"/>
  <c r="B13" i="1"/>
  <c r="B9" i="1"/>
  <c r="B10" i="1" s="1"/>
  <c r="B122" i="1" l="1"/>
  <c r="B145" i="1" s="1"/>
  <c r="B146" i="1" s="1"/>
  <c r="B22" i="1"/>
  <c r="B49" i="1" s="1"/>
  <c r="B50" i="1" s="1"/>
  <c r="B51" i="1" s="1"/>
  <c r="B147" i="1" s="1"/>
  <c r="B148" i="1" s="1"/>
</calcChain>
</file>

<file path=xl/sharedStrings.xml><?xml version="1.0" encoding="utf-8"?>
<sst xmlns="http://schemas.openxmlformats.org/spreadsheetml/2006/main" count="148" uniqueCount="148">
  <si>
    <t>Total</t>
  </si>
  <si>
    <t>Income</t>
  </si>
  <si>
    <t xml:space="preserve">   INC</t>
  </si>
  <si>
    <t xml:space="preserve">      200 COACHING</t>
  </si>
  <si>
    <t xml:space="preserve">         201 Course Fees</t>
  </si>
  <si>
    <t xml:space="preserve">      Total 200 COACHING</t>
  </si>
  <si>
    <t xml:space="preserve">      300 ODP</t>
  </si>
  <si>
    <t xml:space="preserve">         302 Pool Player Fee</t>
  </si>
  <si>
    <t xml:space="preserve">            302a Large Pool</t>
  </si>
  <si>
    <t xml:space="preserve">         Total 302 Pool Player Fee</t>
  </si>
  <si>
    <t xml:space="preserve">         303 ODP Tournament Fee</t>
  </si>
  <si>
    <t xml:space="preserve">            303i Regional Championships</t>
  </si>
  <si>
    <t xml:space="preserve">         Total 303 ODP Tournament Fee</t>
  </si>
  <si>
    <t xml:space="preserve">         312 YOP-Camps-Sanctioning-Other ODP</t>
  </si>
  <si>
    <t xml:space="preserve">            305 YOP Fees</t>
  </si>
  <si>
    <t xml:space="preserve">            306 ODP-YOP Gear Sales</t>
  </si>
  <si>
    <t xml:space="preserve">         Total 312 YOP-Camps-Sanctioning-Other ODP</t>
  </si>
  <si>
    <t xml:space="preserve">      Total 300 ODP</t>
  </si>
  <si>
    <t xml:space="preserve">      400 REGISTRATION</t>
  </si>
  <si>
    <t xml:space="preserve">         401 Registration Fees</t>
  </si>
  <si>
    <t xml:space="preserve">      Total 400 REGISTRATION</t>
  </si>
  <si>
    <t xml:space="preserve">      500 OPERATIONS</t>
  </si>
  <si>
    <t xml:space="preserve">         501 Affiliation Fees</t>
  </si>
  <si>
    <t xml:space="preserve">         502 Interest</t>
  </si>
  <si>
    <t xml:space="preserve">         505 Tourn. Sanction Fees</t>
  </si>
  <si>
    <t xml:space="preserve">      Total 500 OPERATIONS</t>
  </si>
  <si>
    <t xml:space="preserve">      600 TOURN</t>
  </si>
  <si>
    <t xml:space="preserve">         601 American Cup</t>
  </si>
  <si>
    <t xml:space="preserve">         603a State Cup Application Fees</t>
  </si>
  <si>
    <t xml:space="preserve">         603b State Cup Sales</t>
  </si>
  <si>
    <t xml:space="preserve">         650 NMYSA Leagues</t>
  </si>
  <si>
    <t xml:space="preserve">            651 NMYSA League Registration Fees</t>
  </si>
  <si>
    <t xml:space="preserve">         Total 650 NMYSA Leagues</t>
  </si>
  <si>
    <t xml:space="preserve">      Total 600 TOURN</t>
  </si>
  <si>
    <t xml:space="preserve">      640 Misc. Events</t>
  </si>
  <si>
    <t xml:space="preserve">         641 NMYSA Misc. Camps/Events Reg. Fees</t>
  </si>
  <si>
    <t xml:space="preserve">      Total 640 Misc. Events</t>
  </si>
  <si>
    <t xml:space="preserve">      700 OTHER INC</t>
  </si>
  <si>
    <t xml:space="preserve">         701 Fines &amp; Penalties Fees</t>
  </si>
  <si>
    <t xml:space="preserve">         703 Other Income</t>
  </si>
  <si>
    <t xml:space="preserve">         704 Marketing Income</t>
  </si>
  <si>
    <t xml:space="preserve">         709 Grants</t>
  </si>
  <si>
    <t xml:space="preserve">         713 Room Night Program Revenue</t>
  </si>
  <si>
    <t xml:space="preserve">      Total 700 OTHER INC</t>
  </si>
  <si>
    <t xml:space="preserve">   Total INC</t>
  </si>
  <si>
    <t>Total Income</t>
  </si>
  <si>
    <t>Gross Profit</t>
  </si>
  <si>
    <t>Expenses</t>
  </si>
  <si>
    <t xml:space="preserve">   EXP</t>
  </si>
  <si>
    <t xml:space="preserve">      1000 Director of Coaching</t>
  </si>
  <si>
    <t xml:space="preserve">         1001 Director of Coaching Expense</t>
  </si>
  <si>
    <t xml:space="preserve">         1008 TOPSoccer Expense</t>
  </si>
  <si>
    <t xml:space="preserve">      Total 1000 Director of Coaching</t>
  </si>
  <si>
    <t xml:space="preserve">      2000 ODP</t>
  </si>
  <si>
    <t xml:space="preserve">         2005 ODP Player Assistance/Scholarsh</t>
  </si>
  <si>
    <t xml:space="preserve">         2006 Supplies/Gear</t>
  </si>
  <si>
    <t xml:space="preserve">         2006a ODP Coach Gear</t>
  </si>
  <si>
    <t xml:space="preserve">         2009 Team Coaches Expense</t>
  </si>
  <si>
    <t xml:space="preserve">         2010 Rentals</t>
  </si>
  <si>
    <t xml:space="preserve">         2011 ODP Tournament</t>
  </si>
  <si>
    <t xml:space="preserve">         2013 Staff Travel-Meals</t>
  </si>
  <si>
    <t xml:space="preserve">         2014a Salary</t>
  </si>
  <si>
    <t xml:space="preserve">         2307 YOP Rentals</t>
  </si>
  <si>
    <t xml:space="preserve">         2308 YOP Coaching Staff Salary</t>
  </si>
  <si>
    <t xml:space="preserve">         2308b Gear</t>
  </si>
  <si>
    <t xml:space="preserve">         2308c YOP Travel</t>
  </si>
  <si>
    <t xml:space="preserve">      Total 2000 ODP</t>
  </si>
  <si>
    <t xml:space="preserve">      3000 OPR</t>
  </si>
  <si>
    <t xml:space="preserve">         3001 Accident, Liability and WC  Insurance</t>
  </si>
  <si>
    <t xml:space="preserve">         3002 Advertising</t>
  </si>
  <si>
    <t xml:space="preserve">         3006 Bank Charges</t>
  </si>
  <si>
    <t xml:space="preserve">         3007a BOD Travel</t>
  </si>
  <si>
    <t xml:space="preserve">         3008a Rent Office</t>
  </si>
  <si>
    <t xml:space="preserve">         3010 Risk Managment Expense</t>
  </si>
  <si>
    <t xml:space="preserve">         3012 Fees &amp; Licenses</t>
  </si>
  <si>
    <t xml:space="preserve">         3014 Office</t>
  </si>
  <si>
    <t xml:space="preserve">         3016 Photocopy &amp; Printing</t>
  </si>
  <si>
    <t xml:space="preserve">         3017 Postage</t>
  </si>
  <si>
    <t xml:space="preserve">         3018 President's Expenses</t>
  </si>
  <si>
    <t xml:space="preserve">         3018b Other Miscellaneous Service Cost</t>
  </si>
  <si>
    <t xml:space="preserve">         3019 Professional Fees</t>
  </si>
  <si>
    <t xml:space="preserve">         3019b Professional Publishing</t>
  </si>
  <si>
    <t xml:space="preserve">         3020 Registrar's Expenses</t>
  </si>
  <si>
    <t xml:space="preserve">         3021a Telephone - Office</t>
  </si>
  <si>
    <t xml:space="preserve">         3021f Utilities</t>
  </si>
  <si>
    <t xml:space="preserve">         3022a Travel - Mid-Winter Conference</t>
  </si>
  <si>
    <t xml:space="preserve">         3022d Other Travel</t>
  </si>
  <si>
    <t xml:space="preserve">         3023 USYSA  Fees</t>
  </si>
  <si>
    <t xml:space="preserve">         3024c Vehicle Expense</t>
  </si>
  <si>
    <t xml:space="preserve">         3025 Other Operating Expenses</t>
  </si>
  <si>
    <t xml:space="preserve">         3040 Refunds of Income</t>
  </si>
  <si>
    <t xml:space="preserve">      Total 3000 OPR</t>
  </si>
  <si>
    <t xml:space="preserve">      3050 PAYROLL</t>
  </si>
  <si>
    <t xml:space="preserve">         3050b Salaries</t>
  </si>
  <si>
    <t xml:space="preserve">         3052 Employer Payroll Taxes (FICA)</t>
  </si>
  <si>
    <t xml:space="preserve">         3054 Workmens Comp Fee</t>
  </si>
  <si>
    <t xml:space="preserve">         3055 SUTA</t>
  </si>
  <si>
    <t xml:space="preserve">      Total 3050 PAYROLL</t>
  </si>
  <si>
    <t xml:space="preserve">      4000 TOURN</t>
  </si>
  <si>
    <t xml:space="preserve">         4001 American Cup</t>
  </si>
  <si>
    <t xml:space="preserve">            4002 Referee Fees</t>
  </si>
  <si>
    <t xml:space="preserve">            4002a Volunteer Expense</t>
  </si>
  <si>
    <t xml:space="preserve">            4008 Rentals/Misc. Expense</t>
  </si>
  <si>
    <t xml:space="preserve">         Total 4001 American Cup</t>
  </si>
  <si>
    <t xml:space="preserve">         4030 State Cup</t>
  </si>
  <si>
    <t xml:space="preserve">            4031 Awards</t>
  </si>
  <si>
    <t xml:space="preserve">            4032 Referee Fees</t>
  </si>
  <si>
    <t xml:space="preserve">            4032a Volunteer Expense</t>
  </si>
  <si>
    <t xml:space="preserve">            4036 Operating Expenses</t>
  </si>
  <si>
    <t xml:space="preserve">         Total 4030 State Cup</t>
  </si>
  <si>
    <t xml:space="preserve">         4055 Misc Expenses</t>
  </si>
  <si>
    <t xml:space="preserve">         4700 NMYSA League Expnese</t>
  </si>
  <si>
    <t xml:space="preserve">            4700a NMYSA League Referee Expense</t>
  </si>
  <si>
    <t xml:space="preserve">            4700b League Field/Rental</t>
  </si>
  <si>
    <t xml:space="preserve">            4700c League Operating Expense</t>
  </si>
  <si>
    <t xml:space="preserve">            4700d Coaches</t>
  </si>
  <si>
    <t xml:space="preserve">         Total 4700 NMYSA League Expnese</t>
  </si>
  <si>
    <t xml:space="preserve">      Total 4000 TOURN</t>
  </si>
  <si>
    <t xml:space="preserve">      4522 NMYSA Misc. Camps/Events Operating</t>
  </si>
  <si>
    <t xml:space="preserve">         4522a Site Visits-ITC</t>
  </si>
  <si>
    <t xml:space="preserve">      Total 4522 NMYSA Misc. Camps/Events Operating</t>
  </si>
  <si>
    <t xml:space="preserve">      6000 OTHER EXPENSES</t>
  </si>
  <si>
    <t xml:space="preserve">         6002 Referees</t>
  </si>
  <si>
    <t xml:space="preserve">         6004 Special Projects</t>
  </si>
  <si>
    <t xml:space="preserve">         6007 Misc. Exp</t>
  </si>
  <si>
    <t xml:space="preserve">         6010 Room Night Program Expenses</t>
  </si>
  <si>
    <t xml:space="preserve">      Total 6000 OTHER EXPENSES</t>
  </si>
  <si>
    <t xml:space="preserve">      800 AGM Expense</t>
  </si>
  <si>
    <t xml:space="preserve">         801 AGM Lodging/Per Diem/Traval</t>
  </si>
  <si>
    <t xml:space="preserve">         804 AGM Luncheon</t>
  </si>
  <si>
    <t xml:space="preserve">         806 AGM Other</t>
  </si>
  <si>
    <t xml:space="preserve">      Total 800 AGM Expense</t>
  </si>
  <si>
    <t xml:space="preserve">      900 State Coaching Courses</t>
  </si>
  <si>
    <t xml:space="preserve">         901 Instructor Fees</t>
  </si>
  <si>
    <t xml:space="preserve">         903 Travel</t>
  </si>
  <si>
    <t xml:space="preserve">         905 Other Expenses/Fields</t>
  </si>
  <si>
    <t xml:space="preserve">         908 Instructor Meals</t>
  </si>
  <si>
    <t xml:space="preserve">         909 Instructor Hotel Room</t>
  </si>
  <si>
    <t xml:space="preserve">         910 Instructor Gear</t>
  </si>
  <si>
    <t xml:space="preserve">      Total 900 State Coaching Courses</t>
  </si>
  <si>
    <t xml:space="preserve">   Total EXP</t>
  </si>
  <si>
    <t>Total Expenses</t>
  </si>
  <si>
    <t>Net Operating Income</t>
  </si>
  <si>
    <t>Net Income</t>
  </si>
  <si>
    <t>Monday, Nov 17, 2025 12:00:03 PM GMT-8 - Accrual Basis</t>
  </si>
  <si>
    <t>New Mexico Youth Soccer Association</t>
  </si>
  <si>
    <t xml:space="preserve">Budget Overview: Budget_FY27_P&amp;L - FY27 P&amp;L </t>
  </si>
  <si>
    <t>September 2026 - August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</si>
</sst>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&quot;$&quot;* #,##0.00\ _€"/>
  </numFmts>
  <fonts count="6" x14ac:knownFonts="1">
    <font>
      <sz val="11"/>
      <color indexed="8"/>
      <name val="Aptos Narrow"/>
      <family val="2"/>
      <scheme val="minor"/>
    </font>
    <font>
      <b/>
      <sz val="8"/>
      <color indexed="8"/>
      <name val="Arial"/>
    </font>
    <font>
      <sz val="8"/>
      <color indexed="8"/>
      <name val="Arial"/>
    </font>
    <font>
      <b/>
      <sz val="12"/>
      <color indexed="8"/>
      <name val="Arial"/>
      <family val="2"/>
    </font>
    <font>
      <sz val="12"/>
      <color indexed="8"/>
      <name val="Aptos Narrow"/>
      <family val="2"/>
      <scheme val="minor"/>
    </font>
    <font>
      <sz val="12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left" wrapText="1"/>
    </xf>
    <xf numFmtId="164" fontId="2" fillId="0" borderId="0" xfId="0" applyNumberFormat="1" applyFont="1" applyAlignment="1">
      <alignment wrapText="1"/>
    </xf>
    <xf numFmtId="0" fontId="2" fillId="0" borderId="0" xfId="0" applyFont="1" applyAlignment="1">
      <alignment horizontal="center"/>
    </xf>
    <xf numFmtId="0" fontId="0" fillId="0" borderId="0" xfId="0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164" fontId="5" fillId="0" borderId="1" xfId="0" applyNumberFormat="1" applyFont="1" applyBorder="1" applyAlignment="1">
      <alignment wrapText="1"/>
    </xf>
    <xf numFmtId="164" fontId="5" fillId="0" borderId="1" xfId="0" applyNumberFormat="1" applyFont="1" applyBorder="1" applyAlignment="1">
      <alignment horizontal="right" wrapText="1"/>
    </xf>
    <xf numFmtId="165" fontId="3" fillId="0" borderId="1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2"/>
  <sheetViews>
    <sheetView tabSelected="1" topLeftCell="A47" workbookViewId="0">
      <selection activeCell="B9" sqref="B9"/>
    </sheetView>
  </sheetViews>
  <sheetFormatPr baseColWidth="10" defaultColWidth="8.83203125" defaultRowHeight="15" x14ac:dyDescent="0.2"/>
  <cols>
    <col min="1" max="1" width="44.6640625" customWidth="1"/>
    <col min="2" max="2" width="38.6640625" customWidth="1"/>
  </cols>
  <sheetData>
    <row r="1" spans="1:2" ht="16" x14ac:dyDescent="0.2">
      <c r="A1" s="5" t="s">
        <v>145</v>
      </c>
      <c r="B1" s="6"/>
    </row>
    <row r="2" spans="1:2" ht="16" x14ac:dyDescent="0.2">
      <c r="A2" s="5" t="s">
        <v>146</v>
      </c>
      <c r="B2" s="6"/>
    </row>
    <row r="3" spans="1:2" ht="16" x14ac:dyDescent="0.2">
      <c r="A3" s="5" t="s">
        <v>147</v>
      </c>
      <c r="B3" s="6"/>
    </row>
    <row r="4" spans="1:2" ht="16" x14ac:dyDescent="0.2">
      <c r="A4" s="7"/>
      <c r="B4" s="7"/>
    </row>
    <row r="5" spans="1:2" ht="17" x14ac:dyDescent="0.2">
      <c r="A5" s="8"/>
      <c r="B5" s="9" t="s">
        <v>0</v>
      </c>
    </row>
    <row r="6" spans="1:2" ht="17" x14ac:dyDescent="0.2">
      <c r="A6" s="10" t="s">
        <v>1</v>
      </c>
      <c r="B6" s="11"/>
    </row>
    <row r="7" spans="1:2" ht="17" x14ac:dyDescent="0.2">
      <c r="A7" s="10" t="s">
        <v>2</v>
      </c>
      <c r="B7" s="11"/>
    </row>
    <row r="8" spans="1:2" ht="17" x14ac:dyDescent="0.2">
      <c r="A8" s="10" t="s">
        <v>3</v>
      </c>
      <c r="B8" s="11"/>
    </row>
    <row r="9" spans="1:2" ht="17" x14ac:dyDescent="0.2">
      <c r="A9" s="10" t="s">
        <v>4</v>
      </c>
      <c r="B9" s="12">
        <f>48000</f>
        <v>48000</v>
      </c>
    </row>
    <row r="10" spans="1:2" ht="17" x14ac:dyDescent="0.2">
      <c r="A10" s="10" t="s">
        <v>5</v>
      </c>
      <c r="B10" s="13">
        <f>(B8)+(B9)</f>
        <v>48000</v>
      </c>
    </row>
    <row r="11" spans="1:2" ht="17" x14ac:dyDescent="0.2">
      <c r="A11" s="10" t="s">
        <v>6</v>
      </c>
      <c r="B11" s="11"/>
    </row>
    <row r="12" spans="1:2" ht="17" x14ac:dyDescent="0.2">
      <c r="A12" s="10" t="s">
        <v>7</v>
      </c>
      <c r="B12" s="11"/>
    </row>
    <row r="13" spans="1:2" ht="17" x14ac:dyDescent="0.2">
      <c r="A13" s="10" t="s">
        <v>8</v>
      </c>
      <c r="B13" s="12">
        <f>80000</f>
        <v>80000</v>
      </c>
    </row>
    <row r="14" spans="1:2" ht="17" x14ac:dyDescent="0.2">
      <c r="A14" s="10" t="s">
        <v>9</v>
      </c>
      <c r="B14" s="13">
        <f>(B12)+(B13)</f>
        <v>80000</v>
      </c>
    </row>
    <row r="15" spans="1:2" ht="17" x14ac:dyDescent="0.2">
      <c r="A15" s="10" t="s">
        <v>10</v>
      </c>
      <c r="B15" s="11"/>
    </row>
    <row r="16" spans="1:2" ht="17" x14ac:dyDescent="0.2">
      <c r="A16" s="10" t="s">
        <v>11</v>
      </c>
      <c r="B16" s="12">
        <f>94000</f>
        <v>94000</v>
      </c>
    </row>
    <row r="17" spans="1:2" ht="17" x14ac:dyDescent="0.2">
      <c r="A17" s="10" t="s">
        <v>12</v>
      </c>
      <c r="B17" s="13">
        <f>(B15)+(B16)</f>
        <v>94000</v>
      </c>
    </row>
    <row r="18" spans="1:2" ht="34" x14ac:dyDescent="0.2">
      <c r="A18" s="10" t="s">
        <v>13</v>
      </c>
      <c r="B18" s="11"/>
    </row>
    <row r="19" spans="1:2" ht="17" x14ac:dyDescent="0.2">
      <c r="A19" s="10" t="s">
        <v>14</v>
      </c>
      <c r="B19" s="12">
        <f>22000</f>
        <v>22000</v>
      </c>
    </row>
    <row r="20" spans="1:2" ht="17" x14ac:dyDescent="0.2">
      <c r="A20" s="10" t="s">
        <v>15</v>
      </c>
      <c r="B20" s="12">
        <f>1000</f>
        <v>1000</v>
      </c>
    </row>
    <row r="21" spans="1:2" ht="34" x14ac:dyDescent="0.2">
      <c r="A21" s="10" t="s">
        <v>16</v>
      </c>
      <c r="B21" s="13">
        <f>((B18)+(B19))+(B20)</f>
        <v>23000</v>
      </c>
    </row>
    <row r="22" spans="1:2" ht="17" x14ac:dyDescent="0.2">
      <c r="A22" s="10" t="s">
        <v>17</v>
      </c>
      <c r="B22" s="13">
        <f>(((B11)+(B14))+(B17))+(B21)</f>
        <v>197000</v>
      </c>
    </row>
    <row r="23" spans="1:2" ht="17" x14ac:dyDescent="0.2">
      <c r="A23" s="10" t="s">
        <v>18</v>
      </c>
      <c r="B23" s="11"/>
    </row>
    <row r="24" spans="1:2" ht="17" x14ac:dyDescent="0.2">
      <c r="A24" s="10" t="s">
        <v>19</v>
      </c>
      <c r="B24" s="12">
        <f>483000</f>
        <v>483000</v>
      </c>
    </row>
    <row r="25" spans="1:2" ht="17" x14ac:dyDescent="0.2">
      <c r="A25" s="10" t="s">
        <v>20</v>
      </c>
      <c r="B25" s="13">
        <f>(B23)+(B24)</f>
        <v>483000</v>
      </c>
    </row>
    <row r="26" spans="1:2" ht="17" x14ac:dyDescent="0.2">
      <c r="A26" s="10" t="s">
        <v>21</v>
      </c>
      <c r="B26" s="11"/>
    </row>
    <row r="27" spans="1:2" ht="17" x14ac:dyDescent="0.2">
      <c r="A27" s="10" t="s">
        <v>22</v>
      </c>
      <c r="B27" s="12">
        <f>900</f>
        <v>900</v>
      </c>
    </row>
    <row r="28" spans="1:2" ht="17" x14ac:dyDescent="0.2">
      <c r="A28" s="10" t="s">
        <v>23</v>
      </c>
      <c r="B28" s="12">
        <f>15000</f>
        <v>15000</v>
      </c>
    </row>
    <row r="29" spans="1:2" ht="17" x14ac:dyDescent="0.2">
      <c r="A29" s="10" t="s">
        <v>24</v>
      </c>
      <c r="B29" s="12">
        <f>13000</f>
        <v>13000</v>
      </c>
    </row>
    <row r="30" spans="1:2" ht="17" x14ac:dyDescent="0.2">
      <c r="A30" s="10" t="s">
        <v>25</v>
      </c>
      <c r="B30" s="13">
        <f>(((B26)+(B27))+(B28))+(B29)</f>
        <v>28900</v>
      </c>
    </row>
    <row r="31" spans="1:2" ht="17" x14ac:dyDescent="0.2">
      <c r="A31" s="10" t="s">
        <v>26</v>
      </c>
      <c r="B31" s="11"/>
    </row>
    <row r="32" spans="1:2" ht="17" x14ac:dyDescent="0.2">
      <c r="A32" s="10" t="s">
        <v>27</v>
      </c>
      <c r="B32" s="12">
        <f>33000</f>
        <v>33000</v>
      </c>
    </row>
    <row r="33" spans="1:2" ht="17" x14ac:dyDescent="0.2">
      <c r="A33" s="10" t="s">
        <v>28</v>
      </c>
      <c r="B33" s="12">
        <f>58500</f>
        <v>58500</v>
      </c>
    </row>
    <row r="34" spans="1:2" ht="17" x14ac:dyDescent="0.2">
      <c r="A34" s="10" t="s">
        <v>29</v>
      </c>
      <c r="B34" s="12">
        <f>500</f>
        <v>500</v>
      </c>
    </row>
    <row r="35" spans="1:2" ht="17" x14ac:dyDescent="0.2">
      <c r="A35" s="10" t="s">
        <v>30</v>
      </c>
      <c r="B35" s="11"/>
    </row>
    <row r="36" spans="1:2" ht="17" x14ac:dyDescent="0.2">
      <c r="A36" s="10" t="s">
        <v>31</v>
      </c>
      <c r="B36" s="12">
        <f>200000</f>
        <v>200000</v>
      </c>
    </row>
    <row r="37" spans="1:2" ht="17" x14ac:dyDescent="0.2">
      <c r="A37" s="10" t="s">
        <v>32</v>
      </c>
      <c r="B37" s="13">
        <f>(B35)+(B36)</f>
        <v>200000</v>
      </c>
    </row>
    <row r="38" spans="1:2" ht="17" x14ac:dyDescent="0.2">
      <c r="A38" s="10" t="s">
        <v>33</v>
      </c>
      <c r="B38" s="13">
        <f>((((B31)+(B32))+(B33))+(B34))+(B37)</f>
        <v>292000</v>
      </c>
    </row>
    <row r="39" spans="1:2" ht="17" x14ac:dyDescent="0.2">
      <c r="A39" s="10" t="s">
        <v>34</v>
      </c>
      <c r="B39" s="11"/>
    </row>
    <row r="40" spans="1:2" ht="34" x14ac:dyDescent="0.2">
      <c r="A40" s="10" t="s">
        <v>35</v>
      </c>
      <c r="B40" s="12">
        <f>0</f>
        <v>0</v>
      </c>
    </row>
    <row r="41" spans="1:2" ht="17" x14ac:dyDescent="0.2">
      <c r="A41" s="10" t="s">
        <v>36</v>
      </c>
      <c r="B41" s="13">
        <f>(B39)+(B40)</f>
        <v>0</v>
      </c>
    </row>
    <row r="42" spans="1:2" ht="17" x14ac:dyDescent="0.2">
      <c r="A42" s="10" t="s">
        <v>37</v>
      </c>
      <c r="B42" s="11"/>
    </row>
    <row r="43" spans="1:2" ht="17" x14ac:dyDescent="0.2">
      <c r="A43" s="10" t="s">
        <v>38</v>
      </c>
      <c r="B43" s="12">
        <f>2000</f>
        <v>2000</v>
      </c>
    </row>
    <row r="44" spans="1:2" ht="17" x14ac:dyDescent="0.2">
      <c r="A44" s="10" t="s">
        <v>39</v>
      </c>
      <c r="B44" s="12">
        <f>15000</f>
        <v>15000</v>
      </c>
    </row>
    <row r="45" spans="1:2" ht="17" x14ac:dyDescent="0.2">
      <c r="A45" s="10" t="s">
        <v>40</v>
      </c>
      <c r="B45" s="12">
        <f>2500</f>
        <v>2500</v>
      </c>
    </row>
    <row r="46" spans="1:2" ht="17" x14ac:dyDescent="0.2">
      <c r="A46" s="10" t="s">
        <v>41</v>
      </c>
      <c r="B46" s="12">
        <f>9000</f>
        <v>9000</v>
      </c>
    </row>
    <row r="47" spans="1:2" ht="17" x14ac:dyDescent="0.2">
      <c r="A47" s="10" t="s">
        <v>42</v>
      </c>
      <c r="B47" s="12">
        <f>15000</f>
        <v>15000</v>
      </c>
    </row>
    <row r="48" spans="1:2" ht="17" x14ac:dyDescent="0.2">
      <c r="A48" s="10" t="s">
        <v>43</v>
      </c>
      <c r="B48" s="13">
        <f>(((((B42)+(B43))+(B44))+(B45))+(B46))+(B47)</f>
        <v>43500</v>
      </c>
    </row>
    <row r="49" spans="1:2" ht="17" x14ac:dyDescent="0.2">
      <c r="A49" s="10" t="s">
        <v>44</v>
      </c>
      <c r="B49" s="13">
        <f>(((((((B7)+(B10))+(B22))+(B25))+(B30))+(B38))+(B41))+(B48)</f>
        <v>1092400</v>
      </c>
    </row>
    <row r="50" spans="1:2" ht="17" x14ac:dyDescent="0.2">
      <c r="A50" s="10" t="s">
        <v>45</v>
      </c>
      <c r="B50" s="13">
        <f>B49</f>
        <v>1092400</v>
      </c>
    </row>
    <row r="51" spans="1:2" ht="17" x14ac:dyDescent="0.2">
      <c r="A51" s="10" t="s">
        <v>46</v>
      </c>
      <c r="B51" s="13">
        <f>(B50)-(0)</f>
        <v>1092400</v>
      </c>
    </row>
    <row r="52" spans="1:2" ht="17" x14ac:dyDescent="0.2">
      <c r="A52" s="10" t="s">
        <v>47</v>
      </c>
      <c r="B52" s="11"/>
    </row>
    <row r="53" spans="1:2" ht="17" x14ac:dyDescent="0.2">
      <c r="A53" s="10" t="s">
        <v>48</v>
      </c>
      <c r="B53" s="11"/>
    </row>
    <row r="54" spans="1:2" ht="17" x14ac:dyDescent="0.2">
      <c r="A54" s="10" t="s">
        <v>49</v>
      </c>
      <c r="B54" s="11"/>
    </row>
    <row r="55" spans="1:2" ht="17" x14ac:dyDescent="0.2">
      <c r="A55" s="10" t="s">
        <v>50</v>
      </c>
      <c r="B55" s="12">
        <f>1000</f>
        <v>1000</v>
      </c>
    </row>
    <row r="56" spans="1:2" ht="17" x14ac:dyDescent="0.2">
      <c r="A56" s="10" t="s">
        <v>51</v>
      </c>
      <c r="B56" s="12">
        <f>1000</f>
        <v>1000</v>
      </c>
    </row>
    <row r="57" spans="1:2" ht="17" x14ac:dyDescent="0.2">
      <c r="A57" s="10" t="s">
        <v>52</v>
      </c>
      <c r="B57" s="13">
        <f>((B54)+(B55))+(B56)</f>
        <v>2000</v>
      </c>
    </row>
    <row r="58" spans="1:2" ht="17" x14ac:dyDescent="0.2">
      <c r="A58" s="10" t="s">
        <v>53</v>
      </c>
      <c r="B58" s="11"/>
    </row>
    <row r="59" spans="1:2" ht="17" x14ac:dyDescent="0.2">
      <c r="A59" s="10" t="s">
        <v>54</v>
      </c>
      <c r="B59" s="12">
        <f>2000</f>
        <v>2000</v>
      </c>
    </row>
    <row r="60" spans="1:2" ht="17" x14ac:dyDescent="0.2">
      <c r="A60" s="10" t="s">
        <v>55</v>
      </c>
      <c r="B60" s="12">
        <f>55000</f>
        <v>55000</v>
      </c>
    </row>
    <row r="61" spans="1:2" ht="17" x14ac:dyDescent="0.2">
      <c r="A61" s="10" t="s">
        <v>56</v>
      </c>
      <c r="B61" s="12">
        <f>3000</f>
        <v>3000</v>
      </c>
    </row>
    <row r="62" spans="1:2" ht="17" x14ac:dyDescent="0.2">
      <c r="A62" s="10" t="s">
        <v>57</v>
      </c>
      <c r="B62" s="12">
        <f>400</f>
        <v>400</v>
      </c>
    </row>
    <row r="63" spans="1:2" ht="17" x14ac:dyDescent="0.2">
      <c r="A63" s="10" t="s">
        <v>58</v>
      </c>
      <c r="B63" s="12">
        <f>8000</f>
        <v>8000</v>
      </c>
    </row>
    <row r="64" spans="1:2" ht="17" x14ac:dyDescent="0.2">
      <c r="A64" s="10" t="s">
        <v>59</v>
      </c>
      <c r="B64" s="12">
        <f>12000</f>
        <v>12000</v>
      </c>
    </row>
    <row r="65" spans="1:2" ht="17" x14ac:dyDescent="0.2">
      <c r="A65" s="10" t="s">
        <v>60</v>
      </c>
      <c r="B65" s="12">
        <f>30500</f>
        <v>30500</v>
      </c>
    </row>
    <row r="66" spans="1:2" ht="17" x14ac:dyDescent="0.2">
      <c r="A66" s="10" t="s">
        <v>61</v>
      </c>
      <c r="B66" s="12">
        <f>38000</f>
        <v>38000</v>
      </c>
    </row>
    <row r="67" spans="1:2" ht="17" x14ac:dyDescent="0.2">
      <c r="A67" s="10" t="s">
        <v>62</v>
      </c>
      <c r="B67" s="12">
        <f>1200</f>
        <v>1200</v>
      </c>
    </row>
    <row r="68" spans="1:2" ht="17" x14ac:dyDescent="0.2">
      <c r="A68" s="10" t="s">
        <v>63</v>
      </c>
      <c r="B68" s="12">
        <f>7000</f>
        <v>7000</v>
      </c>
    </row>
    <row r="69" spans="1:2" ht="17" x14ac:dyDescent="0.2">
      <c r="A69" s="10" t="s">
        <v>64</v>
      </c>
      <c r="B69" s="12">
        <f>5800</f>
        <v>5800</v>
      </c>
    </row>
    <row r="70" spans="1:2" ht="17" x14ac:dyDescent="0.2">
      <c r="A70" s="10" t="s">
        <v>65</v>
      </c>
      <c r="B70" s="12">
        <f>800</f>
        <v>800</v>
      </c>
    </row>
    <row r="71" spans="1:2" ht="17" x14ac:dyDescent="0.2">
      <c r="A71" s="10" t="s">
        <v>66</v>
      </c>
      <c r="B71" s="13">
        <f>((((((((((((B58)+(B59))+(B60))+(B61))+(B62))+(B63))+(B64))+(B65))+(B66))+(B67))+(B68))+(B69))+(B70)</f>
        <v>163700</v>
      </c>
    </row>
    <row r="72" spans="1:2" ht="17" x14ac:dyDescent="0.2">
      <c r="A72" s="10" t="s">
        <v>67</v>
      </c>
      <c r="B72" s="11"/>
    </row>
    <row r="73" spans="1:2" ht="34" x14ac:dyDescent="0.2">
      <c r="A73" s="10" t="s">
        <v>68</v>
      </c>
      <c r="B73" s="12">
        <f>90000</f>
        <v>90000</v>
      </c>
    </row>
    <row r="74" spans="1:2" ht="17" x14ac:dyDescent="0.2">
      <c r="A74" s="10" t="s">
        <v>69</v>
      </c>
      <c r="B74" s="12">
        <f>3000</f>
        <v>3000</v>
      </c>
    </row>
    <row r="75" spans="1:2" ht="17" x14ac:dyDescent="0.2">
      <c r="A75" s="10" t="s">
        <v>70</v>
      </c>
      <c r="B75" s="12">
        <f>600</f>
        <v>600</v>
      </c>
    </row>
    <row r="76" spans="1:2" ht="17" x14ac:dyDescent="0.2">
      <c r="A76" s="10" t="s">
        <v>71</v>
      </c>
      <c r="B76" s="12">
        <f>4000</f>
        <v>4000</v>
      </c>
    </row>
    <row r="77" spans="1:2" ht="17" x14ac:dyDescent="0.2">
      <c r="A77" s="10" t="s">
        <v>72</v>
      </c>
      <c r="B77" s="12">
        <f>20500</f>
        <v>20500</v>
      </c>
    </row>
    <row r="78" spans="1:2" ht="17" x14ac:dyDescent="0.2">
      <c r="A78" s="10" t="s">
        <v>73</v>
      </c>
      <c r="B78" s="12">
        <f>19000</f>
        <v>19000</v>
      </c>
    </row>
    <row r="79" spans="1:2" ht="17" x14ac:dyDescent="0.2">
      <c r="A79" s="10" t="s">
        <v>74</v>
      </c>
      <c r="B79" s="12">
        <f>7000</f>
        <v>7000</v>
      </c>
    </row>
    <row r="80" spans="1:2" ht="17" x14ac:dyDescent="0.2">
      <c r="A80" s="10" t="s">
        <v>75</v>
      </c>
      <c r="B80" s="12">
        <f>9000</f>
        <v>9000</v>
      </c>
    </row>
    <row r="81" spans="1:2" ht="17" x14ac:dyDescent="0.2">
      <c r="A81" s="10" t="s">
        <v>76</v>
      </c>
      <c r="B81" s="12">
        <f>4800</f>
        <v>4800</v>
      </c>
    </row>
    <row r="82" spans="1:2" ht="17" x14ac:dyDescent="0.2">
      <c r="A82" s="10" t="s">
        <v>77</v>
      </c>
      <c r="B82" s="12">
        <f>2400</f>
        <v>2400</v>
      </c>
    </row>
    <row r="83" spans="1:2" ht="17" x14ac:dyDescent="0.2">
      <c r="A83" s="10" t="s">
        <v>78</v>
      </c>
      <c r="B83" s="12">
        <f>8000</f>
        <v>8000</v>
      </c>
    </row>
    <row r="84" spans="1:2" ht="34" x14ac:dyDescent="0.2">
      <c r="A84" s="10" t="s">
        <v>79</v>
      </c>
      <c r="B84" s="12">
        <f>400</f>
        <v>400</v>
      </c>
    </row>
    <row r="85" spans="1:2" ht="17" x14ac:dyDescent="0.2">
      <c r="A85" s="10" t="s">
        <v>80</v>
      </c>
      <c r="B85" s="12">
        <f>7000</f>
        <v>7000</v>
      </c>
    </row>
    <row r="86" spans="1:2" ht="17" x14ac:dyDescent="0.2">
      <c r="A86" s="10" t="s">
        <v>81</v>
      </c>
      <c r="B86" s="12">
        <f>3200</f>
        <v>3200</v>
      </c>
    </row>
    <row r="87" spans="1:2" ht="17" x14ac:dyDescent="0.2">
      <c r="A87" s="10" t="s">
        <v>82</v>
      </c>
      <c r="B87" s="12">
        <f>1000</f>
        <v>1000</v>
      </c>
    </row>
    <row r="88" spans="1:2" ht="17" x14ac:dyDescent="0.2">
      <c r="A88" s="10" t="s">
        <v>83</v>
      </c>
      <c r="B88" s="12">
        <f>8000</f>
        <v>8000</v>
      </c>
    </row>
    <row r="89" spans="1:2" ht="17" x14ac:dyDescent="0.2">
      <c r="A89" s="10" t="s">
        <v>84</v>
      </c>
      <c r="B89" s="12">
        <f>3100</f>
        <v>3100</v>
      </c>
    </row>
    <row r="90" spans="1:2" ht="17" x14ac:dyDescent="0.2">
      <c r="A90" s="10" t="s">
        <v>85</v>
      </c>
      <c r="B90" s="12">
        <f>6000</f>
        <v>6000</v>
      </c>
    </row>
    <row r="91" spans="1:2" ht="17" x14ac:dyDescent="0.2">
      <c r="A91" s="10" t="s">
        <v>86</v>
      </c>
      <c r="B91" s="12">
        <f>8000</f>
        <v>8000</v>
      </c>
    </row>
    <row r="92" spans="1:2" ht="17" x14ac:dyDescent="0.2">
      <c r="A92" s="10" t="s">
        <v>87</v>
      </c>
      <c r="B92" s="12">
        <f>68250</f>
        <v>68250</v>
      </c>
    </row>
    <row r="93" spans="1:2" ht="17" x14ac:dyDescent="0.2">
      <c r="A93" s="10" t="s">
        <v>88</v>
      </c>
      <c r="B93" s="12">
        <f>1400</f>
        <v>1400</v>
      </c>
    </row>
    <row r="94" spans="1:2" ht="17" x14ac:dyDescent="0.2">
      <c r="A94" s="10" t="s">
        <v>89</v>
      </c>
      <c r="B94" s="12">
        <f>1000</f>
        <v>1000</v>
      </c>
    </row>
    <row r="95" spans="1:2" ht="17" x14ac:dyDescent="0.2">
      <c r="A95" s="10" t="s">
        <v>90</v>
      </c>
      <c r="B95" s="12">
        <f>1500</f>
        <v>1500</v>
      </c>
    </row>
    <row r="96" spans="1:2" ht="17" x14ac:dyDescent="0.2">
      <c r="A96" s="10" t="s">
        <v>91</v>
      </c>
      <c r="B96" s="13">
        <f>(((((((((((((((((((((((B72)+(B73))+(B74))+(B75))+(B76))+(B77))+(B78))+(B79))+(B80))+(B81))+(B82))+(B83))+(B84))+(B85))+(B86))+(B87))+(B88))+(B89))+(B90))+(B91))+(B92))+(B93))+(B94))+(B95)</f>
        <v>277150</v>
      </c>
    </row>
    <row r="97" spans="1:2" ht="17" x14ac:dyDescent="0.2">
      <c r="A97" s="10" t="s">
        <v>92</v>
      </c>
      <c r="B97" s="11"/>
    </row>
    <row r="98" spans="1:2" ht="17" x14ac:dyDescent="0.2">
      <c r="A98" s="10" t="s">
        <v>93</v>
      </c>
      <c r="B98" s="12">
        <f>300000</f>
        <v>300000</v>
      </c>
    </row>
    <row r="99" spans="1:2" ht="17" x14ac:dyDescent="0.2">
      <c r="A99" s="10" t="s">
        <v>94</v>
      </c>
      <c r="B99" s="12">
        <f>23000</f>
        <v>23000</v>
      </c>
    </row>
    <row r="100" spans="1:2" ht="17" x14ac:dyDescent="0.2">
      <c r="A100" s="10" t="s">
        <v>95</v>
      </c>
      <c r="B100" s="12">
        <f>100</f>
        <v>100</v>
      </c>
    </row>
    <row r="101" spans="1:2" ht="17" x14ac:dyDescent="0.2">
      <c r="A101" s="10" t="s">
        <v>96</v>
      </c>
      <c r="B101" s="12">
        <f>600</f>
        <v>600</v>
      </c>
    </row>
    <row r="102" spans="1:2" ht="17" x14ac:dyDescent="0.2">
      <c r="A102" s="10" t="s">
        <v>97</v>
      </c>
      <c r="B102" s="13">
        <f>((((B97)+(B98))+(B99))+(B100))+(B101)</f>
        <v>323700</v>
      </c>
    </row>
    <row r="103" spans="1:2" ht="17" x14ac:dyDescent="0.2">
      <c r="A103" s="10" t="s">
        <v>98</v>
      </c>
      <c r="B103" s="11"/>
    </row>
    <row r="104" spans="1:2" ht="17" x14ac:dyDescent="0.2">
      <c r="A104" s="10" t="s">
        <v>99</v>
      </c>
      <c r="B104" s="11"/>
    </row>
    <row r="105" spans="1:2" ht="17" x14ac:dyDescent="0.2">
      <c r="A105" s="10" t="s">
        <v>100</v>
      </c>
      <c r="B105" s="12">
        <f>12000</f>
        <v>12000</v>
      </c>
    </row>
    <row r="106" spans="1:2" ht="17" x14ac:dyDescent="0.2">
      <c r="A106" s="10" t="s">
        <v>101</v>
      </c>
      <c r="B106" s="12">
        <f>1200</f>
        <v>1200</v>
      </c>
    </row>
    <row r="107" spans="1:2" ht="17" x14ac:dyDescent="0.2">
      <c r="A107" s="10" t="s">
        <v>102</v>
      </c>
      <c r="B107" s="12">
        <f>8000</f>
        <v>8000</v>
      </c>
    </row>
    <row r="108" spans="1:2" ht="17" x14ac:dyDescent="0.2">
      <c r="A108" s="10" t="s">
        <v>103</v>
      </c>
      <c r="B108" s="13">
        <f>(((B104)+(B105))+(B106))+(B107)</f>
        <v>21200</v>
      </c>
    </row>
    <row r="109" spans="1:2" ht="17" x14ac:dyDescent="0.2">
      <c r="A109" s="10" t="s">
        <v>104</v>
      </c>
      <c r="B109" s="12">
        <f>1000</f>
        <v>1000</v>
      </c>
    </row>
    <row r="110" spans="1:2" ht="17" x14ac:dyDescent="0.2">
      <c r="A110" s="10" t="s">
        <v>105</v>
      </c>
      <c r="B110" s="12">
        <f>5000</f>
        <v>5000</v>
      </c>
    </row>
    <row r="111" spans="1:2" ht="17" x14ac:dyDescent="0.2">
      <c r="A111" s="10" t="s">
        <v>106</v>
      </c>
      <c r="B111" s="12">
        <f>21000</f>
        <v>21000</v>
      </c>
    </row>
    <row r="112" spans="1:2" ht="17" x14ac:dyDescent="0.2">
      <c r="A112" s="10" t="s">
        <v>107</v>
      </c>
      <c r="B112" s="12">
        <f>2500</f>
        <v>2500</v>
      </c>
    </row>
    <row r="113" spans="1:2" ht="17" x14ac:dyDescent="0.2">
      <c r="A113" s="10" t="s">
        <v>108</v>
      </c>
      <c r="B113" s="12">
        <f>20000</f>
        <v>20000</v>
      </c>
    </row>
    <row r="114" spans="1:2" ht="17" x14ac:dyDescent="0.2">
      <c r="A114" s="10" t="s">
        <v>109</v>
      </c>
      <c r="B114" s="13">
        <f>((((B109)+(B110))+(B111))+(B112))+(B113)</f>
        <v>49500</v>
      </c>
    </row>
    <row r="115" spans="1:2" ht="17" x14ac:dyDescent="0.2">
      <c r="A115" s="10" t="s">
        <v>110</v>
      </c>
      <c r="B115" s="12">
        <f>10000</f>
        <v>10000</v>
      </c>
    </row>
    <row r="116" spans="1:2" ht="17" x14ac:dyDescent="0.2">
      <c r="A116" s="10" t="s">
        <v>111</v>
      </c>
      <c r="B116" s="11"/>
    </row>
    <row r="117" spans="1:2" ht="34" x14ac:dyDescent="0.2">
      <c r="A117" s="10" t="s">
        <v>112</v>
      </c>
      <c r="B117" s="12">
        <f>19000</f>
        <v>19000</v>
      </c>
    </row>
    <row r="118" spans="1:2" ht="17" x14ac:dyDescent="0.2">
      <c r="A118" s="10" t="s">
        <v>113</v>
      </c>
      <c r="B118" s="12">
        <f>1000</f>
        <v>1000</v>
      </c>
    </row>
    <row r="119" spans="1:2" ht="17" x14ac:dyDescent="0.2">
      <c r="A119" s="10" t="s">
        <v>114</v>
      </c>
      <c r="B119" s="12">
        <f>75000</f>
        <v>75000</v>
      </c>
    </row>
    <row r="120" spans="1:2" ht="17" x14ac:dyDescent="0.2">
      <c r="A120" s="10" t="s">
        <v>115</v>
      </c>
      <c r="B120" s="12">
        <f>67500</f>
        <v>67500</v>
      </c>
    </row>
    <row r="121" spans="1:2" ht="17" x14ac:dyDescent="0.2">
      <c r="A121" s="10" t="s">
        <v>116</v>
      </c>
      <c r="B121" s="13">
        <f>((((B116)+(B117))+(B118))+(B119))+(B120)</f>
        <v>162500</v>
      </c>
    </row>
    <row r="122" spans="1:2" ht="17" x14ac:dyDescent="0.2">
      <c r="A122" s="10" t="s">
        <v>117</v>
      </c>
      <c r="B122" s="13">
        <f>((((B103)+(B108))+(B114))+(B115))+(B121)</f>
        <v>243200</v>
      </c>
    </row>
    <row r="123" spans="1:2" ht="34" x14ac:dyDescent="0.2">
      <c r="A123" s="10" t="s">
        <v>118</v>
      </c>
      <c r="B123" s="12">
        <f>3750</f>
        <v>3750</v>
      </c>
    </row>
    <row r="124" spans="1:2" ht="17" x14ac:dyDescent="0.2">
      <c r="A124" s="10" t="s">
        <v>119</v>
      </c>
      <c r="B124" s="12">
        <f>3000</f>
        <v>3000</v>
      </c>
    </row>
    <row r="125" spans="1:2" ht="34" x14ac:dyDescent="0.2">
      <c r="A125" s="10" t="s">
        <v>120</v>
      </c>
      <c r="B125" s="13">
        <f>(B123)+(B124)</f>
        <v>6750</v>
      </c>
    </row>
    <row r="126" spans="1:2" ht="17" x14ac:dyDescent="0.2">
      <c r="A126" s="10" t="s">
        <v>121</v>
      </c>
      <c r="B126" s="11"/>
    </row>
    <row r="127" spans="1:2" ht="17" x14ac:dyDescent="0.2">
      <c r="A127" s="10" t="s">
        <v>122</v>
      </c>
      <c r="B127" s="12">
        <f>5000</f>
        <v>5000</v>
      </c>
    </row>
    <row r="128" spans="1:2" ht="17" x14ac:dyDescent="0.2">
      <c r="A128" s="10" t="s">
        <v>123</v>
      </c>
      <c r="B128" s="12">
        <f>10000</f>
        <v>10000</v>
      </c>
    </row>
    <row r="129" spans="1:2" ht="17" x14ac:dyDescent="0.2">
      <c r="A129" s="10" t="s">
        <v>124</v>
      </c>
      <c r="B129" s="12">
        <f>1000</f>
        <v>1000</v>
      </c>
    </row>
    <row r="130" spans="1:2" ht="17" x14ac:dyDescent="0.2">
      <c r="A130" s="10" t="s">
        <v>125</v>
      </c>
      <c r="B130" s="12">
        <f>12000</f>
        <v>12000</v>
      </c>
    </row>
    <row r="131" spans="1:2" ht="17" x14ac:dyDescent="0.2">
      <c r="A131" s="10" t="s">
        <v>126</v>
      </c>
      <c r="B131" s="13">
        <f>((((B126)+(B127))+(B128))+(B129))+(B130)</f>
        <v>28000</v>
      </c>
    </row>
    <row r="132" spans="1:2" ht="17" x14ac:dyDescent="0.2">
      <c r="A132" s="10" t="s">
        <v>127</v>
      </c>
      <c r="B132" s="11"/>
    </row>
    <row r="133" spans="1:2" ht="17" x14ac:dyDescent="0.2">
      <c r="A133" s="10" t="s">
        <v>128</v>
      </c>
      <c r="B133" s="12">
        <f>1300</f>
        <v>1300</v>
      </c>
    </row>
    <row r="134" spans="1:2" ht="17" x14ac:dyDescent="0.2">
      <c r="A134" s="10" t="s">
        <v>129</v>
      </c>
      <c r="B134" s="12">
        <f>8000</f>
        <v>8000</v>
      </c>
    </row>
    <row r="135" spans="1:2" ht="17" x14ac:dyDescent="0.2">
      <c r="A135" s="10" t="s">
        <v>130</v>
      </c>
      <c r="B135" s="12">
        <f>12000</f>
        <v>12000</v>
      </c>
    </row>
    <row r="136" spans="1:2" ht="17" x14ac:dyDescent="0.2">
      <c r="A136" s="10" t="s">
        <v>131</v>
      </c>
      <c r="B136" s="13">
        <f>(((B132)+(B133))+(B134))+(B135)</f>
        <v>21300</v>
      </c>
    </row>
    <row r="137" spans="1:2" ht="17" x14ac:dyDescent="0.2">
      <c r="A137" s="10" t="s">
        <v>132</v>
      </c>
      <c r="B137" s="11"/>
    </row>
    <row r="138" spans="1:2" ht="17" x14ac:dyDescent="0.2">
      <c r="A138" s="10" t="s">
        <v>133</v>
      </c>
      <c r="B138" s="12">
        <f>8500</f>
        <v>8500</v>
      </c>
    </row>
    <row r="139" spans="1:2" ht="17" x14ac:dyDescent="0.2">
      <c r="A139" s="10" t="s">
        <v>134</v>
      </c>
      <c r="B139" s="12">
        <f>8000</f>
        <v>8000</v>
      </c>
    </row>
    <row r="140" spans="1:2" ht="17" x14ac:dyDescent="0.2">
      <c r="A140" s="10" t="s">
        <v>135</v>
      </c>
      <c r="B140" s="12">
        <f>7000</f>
        <v>7000</v>
      </c>
    </row>
    <row r="141" spans="1:2" ht="17" x14ac:dyDescent="0.2">
      <c r="A141" s="10" t="s">
        <v>136</v>
      </c>
      <c r="B141" s="12">
        <f>500</f>
        <v>500</v>
      </c>
    </row>
    <row r="142" spans="1:2" ht="17" x14ac:dyDescent="0.2">
      <c r="A142" s="10" t="s">
        <v>137</v>
      </c>
      <c r="B142" s="12">
        <f>2400</f>
        <v>2400</v>
      </c>
    </row>
    <row r="143" spans="1:2" ht="17" x14ac:dyDescent="0.2">
      <c r="A143" s="10" t="s">
        <v>138</v>
      </c>
      <c r="B143" s="12">
        <f>200</f>
        <v>200</v>
      </c>
    </row>
    <row r="144" spans="1:2" ht="17" x14ac:dyDescent="0.2">
      <c r="A144" s="10" t="s">
        <v>139</v>
      </c>
      <c r="B144" s="13">
        <f>((((((B137)+(B138))+(B139))+(B140))+(B141))+(B142))+(B143)</f>
        <v>26600</v>
      </c>
    </row>
    <row r="145" spans="1:2" ht="17" x14ac:dyDescent="0.2">
      <c r="A145" s="10" t="s">
        <v>140</v>
      </c>
      <c r="B145" s="13">
        <f>(((((((((B53)+(B57))+(B71))+(B96))+(B102))+(B122))+(B125))+(B131))+(B136))+(B144)</f>
        <v>1092400</v>
      </c>
    </row>
    <row r="146" spans="1:2" ht="17" x14ac:dyDescent="0.2">
      <c r="A146" s="10" t="s">
        <v>141</v>
      </c>
      <c r="B146" s="13">
        <f>B145</f>
        <v>1092400</v>
      </c>
    </row>
    <row r="147" spans="1:2" ht="17" x14ac:dyDescent="0.2">
      <c r="A147" s="10" t="s">
        <v>142</v>
      </c>
      <c r="B147" s="13">
        <f>(B51)-(B146)</f>
        <v>0</v>
      </c>
    </row>
    <row r="148" spans="1:2" ht="17" x14ac:dyDescent="0.2">
      <c r="A148" s="10" t="s">
        <v>143</v>
      </c>
      <c r="B148" s="13">
        <f>(B147)+(0)</f>
        <v>0</v>
      </c>
    </row>
    <row r="149" spans="1:2" x14ac:dyDescent="0.2">
      <c r="A149" s="1"/>
      <c r="B149" s="2"/>
    </row>
    <row r="152" spans="1:2" x14ac:dyDescent="0.2">
      <c r="A152" s="3" t="s">
        <v>144</v>
      </c>
      <c r="B152" s="4"/>
    </row>
  </sheetData>
  <mergeCells count="4">
    <mergeCell ref="A152:B152"/>
    <mergeCell ref="A1:B1"/>
    <mergeCell ref="A2:B2"/>
    <mergeCell ref="A3:B3"/>
  </mergeCell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Overview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Gloria Faber</cp:lastModifiedBy>
  <cp:lastPrinted>2025-11-19T16:34:37Z</cp:lastPrinted>
  <dcterms:created xsi:type="dcterms:W3CDTF">2025-11-17T20:00:03Z</dcterms:created>
  <dcterms:modified xsi:type="dcterms:W3CDTF">2025-11-19T16:34:42Z</dcterms:modified>
</cp:coreProperties>
</file>